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60" windowHeight="6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<sst xmlns="http://schemas.openxmlformats.org/spreadsheetml/2006/main" count="86" uniqueCount="74">
  <si>
    <t>Andy's Car</t>
  </si>
  <si>
    <t>Force Multiplier</t>
  </si>
  <si>
    <t>Intended Decel G's</t>
  </si>
  <si>
    <t>Power Assist</t>
  </si>
  <si>
    <t>Cylinder Area (sq in)</t>
  </si>
  <si>
    <t>% Front Balance Bar</t>
  </si>
  <si>
    <t>Master Cyl Output (psi)</t>
  </si>
  <si>
    <t>% Weight Dist Front</t>
  </si>
  <si>
    <t>Constants</t>
  </si>
  <si>
    <t>Piston 2</t>
  </si>
  <si>
    <t>Cg</t>
  </si>
  <si>
    <t>Input Pressure (lbs)</t>
  </si>
  <si>
    <t>Andy Front</t>
  </si>
  <si>
    <t>Andy Rear</t>
  </si>
  <si>
    <t>Tire Radius</t>
  </si>
  <si>
    <t>Wheelbase</t>
  </si>
  <si>
    <t>% Front Weight</t>
  </si>
  <si>
    <t>Front Area %</t>
  </si>
  <si>
    <t>Percent Torque</t>
  </si>
  <si>
    <t>G Decel</t>
  </si>
  <si>
    <t>% Rear Weight</t>
  </si>
  <si>
    <t>Damian Big Reds</t>
  </si>
  <si>
    <t>Damian RZ</t>
  </si>
  <si>
    <t>Rear Annulus Width (in)</t>
  </si>
  <si>
    <t>Front Annulus Width (in)</t>
  </si>
  <si>
    <t>Front Piston Area (sq in)</t>
  </si>
  <si>
    <t>Rear Piston Area (sq in)</t>
  </si>
  <si>
    <t>Car weight (lbs)</t>
  </si>
  <si>
    <t>Weight Transfer (lbs)</t>
  </si>
  <si>
    <t>Front Weight (lbs)</t>
  </si>
  <si>
    <t>Wheel Torque (ft lbs)</t>
  </si>
  <si>
    <t>Total Torque (ft lbs)</t>
  </si>
  <si>
    <t>Clamp Load (lbs)</t>
  </si>
  <si>
    <t>Rotor Output Force (lbs)</t>
  </si>
  <si>
    <t>Brake Torque (ft lbs)</t>
  </si>
  <si>
    <t>Front Rotor Diam (in)</t>
  </si>
  <si>
    <t>Rear Rotor Diam (in)</t>
  </si>
  <si>
    <t>Front Pad Coefficient</t>
  </si>
  <si>
    <t>Rear Pad Coefficient</t>
  </si>
  <si>
    <t>Andy Input Press</t>
  </si>
  <si>
    <t>Piston 1</t>
  </si>
  <si>
    <t>Area</t>
  </si>
  <si>
    <t>Total</t>
  </si>
  <si>
    <t>Damian's StopTech</t>
  </si>
  <si>
    <t>Damian BR w/man</t>
  </si>
  <si>
    <t>Damian RZ w/man</t>
  </si>
  <si>
    <t>Damian Stoptech w/man</t>
  </si>
  <si>
    <t>Damian BR Input Press</t>
  </si>
  <si>
    <t>Damian's BR/RZ</t>
  </si>
  <si>
    <t>Damian BR w/man Press</t>
  </si>
  <si>
    <t>Damian Stoptech w/man Input</t>
  </si>
  <si>
    <t>Proposed RacingBrake</t>
  </si>
  <si>
    <t>Proposed RacingBrake F</t>
  </si>
  <si>
    <t>Proposed RacingBrake R</t>
  </si>
  <si>
    <t>Proposed RacingBrake Press</t>
  </si>
  <si>
    <t>.</t>
  </si>
  <si>
    <t>Stock 93-95</t>
  </si>
  <si>
    <t>Stock 93-95 Front</t>
  </si>
  <si>
    <t>Stock 93-95 Rear</t>
  </si>
  <si>
    <t>Stock 93-95 Input Press</t>
  </si>
  <si>
    <t>Damian's BR/RZ w/man</t>
  </si>
  <si>
    <t>Damian's Stoptech/RZ w/man</t>
  </si>
  <si>
    <t>Big Red/Stock</t>
  </si>
  <si>
    <t>BR/Stock Input Press</t>
  </si>
  <si>
    <t>Big Reds</t>
  </si>
  <si>
    <t>&gt;&gt;To balance the equasions make the G's Decel column match the Intended G's Decel Constant by changing the Input Pressure</t>
  </si>
  <si>
    <t>&gt;&gt;Do not modify the grey cells unless you know what you are doing</t>
  </si>
  <si>
    <t>Master Cyl Diam (in)</t>
  </si>
  <si>
    <t>&gt;&gt;If % Front Torque Matches the Front Weight % then the braking is balanced, however for safety it is better to have slightly more front % so that the front tires lock first.</t>
  </si>
  <si>
    <t>Notes</t>
  </si>
  <si>
    <t>Brake System Calculatomatic v1.1</t>
  </si>
  <si>
    <t>Diameter</t>
  </si>
  <si>
    <t>Piston Area Calc (in)</t>
  </si>
  <si>
    <t>Piston Area Calc (mm)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</si>
</sst>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Fill="1" applyAlignment="1">
      <alignment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64" fontId="0" fillId="0" borderId="1" xfId="0" applyNumberForma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37">
      <selection activeCell="F64" sqref="F64"/>
    </sheetView>
  </sheetViews>
  <sheetFormatPr defaultColWidth="9.140625" defaultRowHeight="12.75"/>
  <cols>
    <col min="1" max="1" width="25.7109375" style="0" customWidth="1"/>
    <col min="2" max="2" width="19.57421875" style="0" customWidth="1"/>
    <col min="3" max="3" width="18.421875" style="1" customWidth="1"/>
    <col min="4" max="4" width="23.140625" style="0" customWidth="1"/>
    <col min="5" max="5" width="20.421875" style="1" customWidth="1"/>
    <col min="6" max="6" width="21.421875" style="1" customWidth="1"/>
    <col min="7" max="7" width="21.8515625" style="0" customWidth="1"/>
    <col min="8" max="8" width="17.8515625" style="0" customWidth="1"/>
    <col min="9" max="9" width="18.00390625" style="0" customWidth="1"/>
    <col min="10" max="10" width="17.8515625" style="0" customWidth="1"/>
    <col min="11" max="11" width="18.57421875" style="0" customWidth="1"/>
    <col min="12" max="12" width="14.57421875" style="0" customWidth="1"/>
  </cols>
  <sheetData>
    <row r="1" ht="15.75">
      <c r="A1" s="13" t="s">
        <v>70</v>
      </c>
    </row>
    <row r="2" ht="12.75">
      <c r="A2" s="2" t="s">
        <v>69</v>
      </c>
    </row>
    <row r="3" ht="12.75">
      <c r="A3" t="s">
        <v>66</v>
      </c>
    </row>
    <row r="4" ht="12.75">
      <c r="A4" t="s">
        <v>65</v>
      </c>
    </row>
    <row r="5" ht="12.75">
      <c r="A5" t="s">
        <v>68</v>
      </c>
    </row>
    <row r="7" spans="2:12" ht="12.75">
      <c r="B7" t="s">
        <v>11</v>
      </c>
      <c r="C7" t="s">
        <v>67</v>
      </c>
      <c r="D7" s="1" t="s">
        <v>4</v>
      </c>
      <c r="E7" s="1" t="s">
        <v>6</v>
      </c>
      <c r="F7" s="1" t="s">
        <v>32</v>
      </c>
      <c r="G7" s="1" t="s">
        <v>33</v>
      </c>
      <c r="H7" s="1" t="s">
        <v>34</v>
      </c>
      <c r="I7" s="1" t="s">
        <v>30</v>
      </c>
      <c r="J7" s="1" t="s">
        <v>18</v>
      </c>
      <c r="K7" s="1" t="s">
        <v>31</v>
      </c>
      <c r="L7" s="1" t="s">
        <v>19</v>
      </c>
    </row>
    <row r="8" spans="1:12" ht="12.75">
      <c r="A8" t="s">
        <v>57</v>
      </c>
      <c r="B8" s="4">
        <f>B48*B32+C32*B48</f>
        <v>607.5999999999999</v>
      </c>
      <c r="C8" s="5">
        <f>15/16</f>
        <v>0.9375</v>
      </c>
      <c r="D8" s="6">
        <f>(C8/2)^2*PI()</f>
        <v>0.6902913545485385</v>
      </c>
      <c r="E8" s="6">
        <f>B8/D8</f>
        <v>880.2080396869231</v>
      </c>
      <c r="F8" s="7">
        <f>E8*D32</f>
        <v>5580.518971615093</v>
      </c>
      <c r="G8" s="7">
        <f>F8*$B$57</f>
        <v>2790.2594858075463</v>
      </c>
      <c r="H8" s="7">
        <f>G8*(((B41/2)-(D41/2))/12)</f>
        <v>1127.14857145434</v>
      </c>
      <c r="I8" s="7">
        <f>H8*12/$B$60</f>
        <v>1089.032436187768</v>
      </c>
      <c r="J8" s="7">
        <f>I8/(I8+I9)*100</f>
        <v>72.2910722626591</v>
      </c>
      <c r="K8" s="6">
        <f>2*I8+2*I9</f>
        <v>3012.9098991115447</v>
      </c>
      <c r="L8" s="6">
        <f>K8/G32</f>
        <v>0.9956741239628369</v>
      </c>
    </row>
    <row r="9" spans="1:12" ht="12.75">
      <c r="A9" t="s">
        <v>58</v>
      </c>
      <c r="B9" s="5"/>
      <c r="C9" s="5"/>
      <c r="D9" s="5"/>
      <c r="E9" s="5"/>
      <c r="F9" s="7">
        <f>IF((E8-570&lt;0),E8*E32,((E8-570)*11/28+570)*E32)</f>
        <v>1017.0451429191982</v>
      </c>
      <c r="G9" s="7">
        <f>F9*$B$58*2</f>
        <v>1017.0451429191982</v>
      </c>
      <c r="H9" s="7">
        <f>G9*(((C41/2)-(E41/2))/12)</f>
        <v>432.03230133588437</v>
      </c>
      <c r="I9" s="7">
        <f>H9*12/$B$60</f>
        <v>417.4225133680042</v>
      </c>
      <c r="J9" s="7">
        <f>I9/(I8+I9)*100</f>
        <v>27.708927737340893</v>
      </c>
      <c r="K9" s="5"/>
      <c r="L9" s="5"/>
    </row>
    <row r="10" spans="2:12" ht="12.75">
      <c r="B10" s="8"/>
      <c r="C10" s="8"/>
      <c r="D10" s="9"/>
      <c r="E10" s="9"/>
      <c r="F10" s="10"/>
      <c r="G10" s="10"/>
      <c r="H10" s="10"/>
      <c r="I10" s="10"/>
      <c r="J10" s="10"/>
      <c r="K10" s="8"/>
      <c r="L10" s="8"/>
    </row>
    <row r="11" spans="1:12" ht="12.75">
      <c r="A11" t="s">
        <v>64</v>
      </c>
      <c r="B11" s="4">
        <f>B49*B33+C33*B49</f>
        <v>551.8</v>
      </c>
      <c r="C11" s="5">
        <v>1</v>
      </c>
      <c r="D11" s="6">
        <f>(C11/2)^2*PI()</f>
        <v>0.7853981633974483</v>
      </c>
      <c r="E11" s="6">
        <f>B11/D11</f>
        <v>702.5735807848628</v>
      </c>
      <c r="F11" s="7">
        <f>E11*D33</f>
        <v>5522.228344969021</v>
      </c>
      <c r="G11" s="7">
        <f>F11*$B$57</f>
        <v>2761.1141724845106</v>
      </c>
      <c r="H11" s="7">
        <f>G11*(((B42/2)-(D42/2))/12)</f>
        <v>1185.2272872174815</v>
      </c>
      <c r="I11" s="7">
        <f>H11*12/$B$60</f>
        <v>1145.1471374081946</v>
      </c>
      <c r="J11" s="7">
        <f>I11/(I11+I12)*100</f>
        <v>75.31551372294757</v>
      </c>
      <c r="K11" s="6">
        <f>2*I11+2*I12</f>
        <v>3040.9329520626625</v>
      </c>
      <c r="L11" s="6">
        <f>K11/G33</f>
        <v>1.0049348817127106</v>
      </c>
    </row>
    <row r="12" spans="1:12" ht="12.75">
      <c r="A12" t="s">
        <v>58</v>
      </c>
      <c r="B12" s="5"/>
      <c r="C12" s="5"/>
      <c r="D12" s="5"/>
      <c r="E12" s="5"/>
      <c r="F12" s="7">
        <f>IF((E11-570&lt;0),E11*E33,((E11-570)*11/28+570)*E33)</f>
        <v>914.4612429032583</v>
      </c>
      <c r="G12" s="7">
        <f>F12*$B$58*2</f>
        <v>914.4612429032583</v>
      </c>
      <c r="H12" s="7">
        <f>G12*(((C42/2)-(E42/2))/12)</f>
        <v>388.4555154749466</v>
      </c>
      <c r="I12" s="7">
        <f>H12*12/$B$60</f>
        <v>375.3193386231368</v>
      </c>
      <c r="J12" s="7">
        <f>I12/(I11+I12)*100</f>
        <v>24.68448627705244</v>
      </c>
      <c r="K12" s="5"/>
      <c r="L12" s="5"/>
    </row>
    <row r="13" spans="2:12" ht="12.75">
      <c r="B13" s="8"/>
      <c r="C13" s="8"/>
      <c r="D13" s="9"/>
      <c r="E13" s="9"/>
      <c r="F13" s="10"/>
      <c r="G13" s="10"/>
      <c r="H13" s="10"/>
      <c r="I13" s="10"/>
      <c r="J13" s="10"/>
      <c r="K13" s="8"/>
      <c r="L13" s="8"/>
    </row>
    <row r="14" spans="1:12" ht="12.75">
      <c r="A14" t="s">
        <v>21</v>
      </c>
      <c r="B14" s="4">
        <f>B50*B34+C34*B50</f>
        <v>502.19999999999993</v>
      </c>
      <c r="C14" s="5">
        <v>1</v>
      </c>
      <c r="D14" s="6">
        <f>(C14/2)^2*PI()</f>
        <v>0.7853981633974483</v>
      </c>
      <c r="E14" s="6">
        <f>B14/D14</f>
        <v>639.4208993659986</v>
      </c>
      <c r="F14" s="7">
        <f>E14*D35</f>
        <v>5025.848269016749</v>
      </c>
      <c r="G14" s="7">
        <f>F14*$B$57</f>
        <v>2512.9241345083747</v>
      </c>
      <c r="H14" s="7">
        <f>G14*(((B43/2)-(D43/2))/12)</f>
        <v>1078.6900029732135</v>
      </c>
      <c r="I14" s="7">
        <f>H14*12/$B$60</f>
        <v>1042.2125632591435</v>
      </c>
      <c r="J14" s="7">
        <f>I14/(I14+I15)*100</f>
        <v>73.1463863572928</v>
      </c>
      <c r="K14" s="6">
        <f>2*I14+2*I15</f>
        <v>2849.66247865841</v>
      </c>
      <c r="L14" s="6">
        <f>K14/G35</f>
        <v>0.9998815714590912</v>
      </c>
    </row>
    <row r="15" spans="1:12" ht="12.75">
      <c r="A15" t="s">
        <v>22</v>
      </c>
      <c r="B15" s="5"/>
      <c r="C15" s="5"/>
      <c r="D15" s="5"/>
      <c r="E15" s="5"/>
      <c r="F15" s="7">
        <f>IF((E14-570&lt;0),E14*E34,((E14-570)*11/28+570)*E34)</f>
        <v>877.9905693838641</v>
      </c>
      <c r="G15" s="7">
        <f>F15*$B$58*2</f>
        <v>877.9905693838641</v>
      </c>
      <c r="H15" s="7">
        <f>G15*(((C43/2)-(E43/2))/12)</f>
        <v>396.01032973251364</v>
      </c>
      <c r="I15" s="7">
        <f>H15*12/$B$60</f>
        <v>382.6186760700615</v>
      </c>
      <c r="J15" s="7">
        <f>I15/(I14+I15)*100</f>
        <v>26.853613642707202</v>
      </c>
      <c r="K15" s="5"/>
      <c r="L15" s="5"/>
    </row>
    <row r="16" spans="2:12" ht="12.75">
      <c r="B16" s="8"/>
      <c r="C16" s="8"/>
      <c r="D16" s="9"/>
      <c r="E16" s="9"/>
      <c r="F16" s="10"/>
      <c r="G16" s="10"/>
      <c r="H16" s="10"/>
      <c r="I16" s="10"/>
      <c r="J16" s="10"/>
      <c r="K16" s="8"/>
      <c r="L16" s="8"/>
    </row>
    <row r="17" spans="1:12" ht="12.75">
      <c r="A17" t="s">
        <v>44</v>
      </c>
      <c r="B17" s="11">
        <f>B51*B56/100*B35</f>
        <v>260.40000000000003</v>
      </c>
      <c r="C17" s="8">
        <v>0.75</v>
      </c>
      <c r="D17" s="7">
        <f>(C17/2)^2*PI()</f>
        <v>0.44178646691106466</v>
      </c>
      <c r="E17" s="7">
        <f>B17/D17</f>
        <v>589.4250265760647</v>
      </c>
      <c r="F17" s="7">
        <f>E17*D35</f>
        <v>4632.880708887869</v>
      </c>
      <c r="G17" s="7">
        <f>F17*$B$57</f>
        <v>2316.4403544439347</v>
      </c>
      <c r="H17" s="7">
        <f>G17*(((B43/2)-(D43/2))/12)</f>
        <v>994.3479862798349</v>
      </c>
      <c r="I17" s="7">
        <f>H17*12/$B$60</f>
        <v>960.7226920578115</v>
      </c>
      <c r="J17" s="7">
        <f>I17/(I17+I18)*100</f>
        <v>67.33006926961883</v>
      </c>
      <c r="K17" s="6">
        <f>2*I17+2*I18</f>
        <v>2853.770098499857</v>
      </c>
      <c r="L17" s="6">
        <f>K17/G35</f>
        <v>1.001322841578897</v>
      </c>
    </row>
    <row r="18" spans="1:12" ht="12.75">
      <c r="A18" t="s">
        <v>45</v>
      </c>
      <c r="B18" s="11">
        <f>B51*(1-B56/100)*B35</f>
        <v>260.40000000000003</v>
      </c>
      <c r="C18" s="8">
        <v>0.675</v>
      </c>
      <c r="D18" s="7">
        <f>(C18/2)^2*PI()</f>
        <v>0.35784703819796243</v>
      </c>
      <c r="E18" s="7">
        <f>B18/D18</f>
        <v>727.6852179951416</v>
      </c>
      <c r="F18" s="7">
        <f>E18*E35</f>
        <v>1069.697270452858</v>
      </c>
      <c r="G18" s="7">
        <f>F18*$B$58*2</f>
        <v>1069.697270452858</v>
      </c>
      <c r="H18" s="7">
        <f>G18*(((C43/2)-(E43/2))/12)</f>
        <v>482.4780396938411</v>
      </c>
      <c r="I18" s="7">
        <f>H18*12/$B$60</f>
        <v>466.162357192117</v>
      </c>
      <c r="J18" s="7">
        <f>I18/(I17+I18)*100</f>
        <v>32.66993073038118</v>
      </c>
      <c r="K18" s="5"/>
      <c r="L18" s="5"/>
    </row>
    <row r="19" spans="2:12" ht="12.75">
      <c r="B19" s="8"/>
      <c r="C19" s="8"/>
      <c r="D19" s="9"/>
      <c r="E19" s="9"/>
      <c r="F19" s="9"/>
      <c r="G19" s="9"/>
      <c r="H19" s="9"/>
      <c r="I19" s="9"/>
      <c r="J19" s="8"/>
      <c r="K19" s="8"/>
      <c r="L19" s="8"/>
    </row>
    <row r="20" spans="1:12" ht="12.75">
      <c r="A20" t="s">
        <v>46</v>
      </c>
      <c r="B20" s="11">
        <f>B52*B56/100*B36</f>
        <v>257.3</v>
      </c>
      <c r="C20" s="8">
        <v>0.75</v>
      </c>
      <c r="D20" s="7">
        <f>(C20/2)^2*PI()</f>
        <v>0.44178646691106466</v>
      </c>
      <c r="E20" s="7">
        <f>B20/D20</f>
        <v>582.4080619739686</v>
      </c>
      <c r="F20" s="7">
        <f>E20*D36</f>
        <v>4338.940061706066</v>
      </c>
      <c r="G20" s="7">
        <f>F20*$B$57</f>
        <v>2169.470030853033</v>
      </c>
      <c r="H20" s="7">
        <f>G20*(((B44/2)-(D44/2))/12)</f>
        <v>1000.0345737135193</v>
      </c>
      <c r="I20" s="7">
        <f>H20*12/$B$60</f>
        <v>966.216979433352</v>
      </c>
      <c r="J20" s="7">
        <f>I20/(I20+I21)*100</f>
        <v>67.71774669673346</v>
      </c>
      <c r="K20" s="6">
        <f>2*I20+2*I21</f>
        <v>2853.6595695082688</v>
      </c>
      <c r="L20" s="6">
        <f>K20/G36</f>
        <v>1.0012840594765855</v>
      </c>
    </row>
    <row r="21" spans="1:12" ht="12.75">
      <c r="A21" t="s">
        <v>45</v>
      </c>
      <c r="B21" s="11">
        <f>B52*(1-B56/100)*B36</f>
        <v>257.3</v>
      </c>
      <c r="C21" s="8">
        <v>0.675</v>
      </c>
      <c r="D21" s="7">
        <f>(C21/2)^2*PI()</f>
        <v>0.35784703819796243</v>
      </c>
      <c r="E21" s="7">
        <f>B21/D21</f>
        <v>719.0222987332945</v>
      </c>
      <c r="F21" s="7">
        <f>E21*E36</f>
        <v>1056.962779137943</v>
      </c>
      <c r="G21" s="7">
        <f>F21*$B$58*2</f>
        <v>1056.962779137943</v>
      </c>
      <c r="H21" s="7">
        <f>G21*(((C44/2)-(E44/2))/12)</f>
        <v>476.73425350700967</v>
      </c>
      <c r="I21" s="7">
        <f>H21*12/$B$60</f>
        <v>460.6128053207823</v>
      </c>
      <c r="J21" s="7">
        <f>I21/(I20+I21)*100</f>
        <v>32.282253303266536</v>
      </c>
      <c r="K21" s="5"/>
      <c r="L21" s="5"/>
    </row>
    <row r="22" spans="2:12" ht="12.75">
      <c r="B22" s="8"/>
      <c r="C22" s="8"/>
      <c r="D22" s="9"/>
      <c r="E22" s="9"/>
      <c r="F22" s="9"/>
      <c r="G22" s="9"/>
      <c r="H22" s="9"/>
      <c r="I22" s="9"/>
      <c r="J22" s="8"/>
      <c r="K22" s="8"/>
      <c r="L22" s="8"/>
    </row>
    <row r="23" spans="1:12" ht="12.75">
      <c r="A23" t="s">
        <v>12</v>
      </c>
      <c r="B23" s="4">
        <f>B53*B37+C37*B53</f>
        <v>688.2</v>
      </c>
      <c r="C23" s="5">
        <v>1</v>
      </c>
      <c r="D23" s="6">
        <f>(C23/2)^2*PI()</f>
        <v>0.7853981633974483</v>
      </c>
      <c r="E23" s="6">
        <f>B23/D23</f>
        <v>876.243454686739</v>
      </c>
      <c r="F23" s="7">
        <f>E23*D37</f>
        <v>5555.383502713926</v>
      </c>
      <c r="G23" s="7">
        <f>F23*$B$57</f>
        <v>2777.691751356963</v>
      </c>
      <c r="H23" s="7">
        <f>G23*(((B45/2)-(D45/2))/12)</f>
        <v>1122.0717303919066</v>
      </c>
      <c r="I23" s="7">
        <f>H23*12/$B$60</f>
        <v>1084.1272757409727</v>
      </c>
      <c r="J23" s="7">
        <f>I23/(I23+I24)*100</f>
        <v>72.24576707604831</v>
      </c>
      <c r="K23" s="6">
        <f>2*I23+2*I24</f>
        <v>3001.220194948679</v>
      </c>
      <c r="L23" s="6">
        <f>K23/G37</f>
        <v>1.0004067316495597</v>
      </c>
    </row>
    <row r="24" spans="1:12" ht="12.75">
      <c r="A24" t="s">
        <v>13</v>
      </c>
      <c r="B24" s="5"/>
      <c r="C24" s="5"/>
      <c r="D24" s="5"/>
      <c r="E24" s="5"/>
      <c r="F24" s="7">
        <f>IF((E23-570&lt;0),E23*E37,((E23-570)*11/28+570)*E37)</f>
        <v>1014.7555950815919</v>
      </c>
      <c r="G24" s="7">
        <f>F24*$B$58*2</f>
        <v>1014.7555950815919</v>
      </c>
      <c r="H24" s="7">
        <f>G24*(((C45/2)-(E45/2))/12)</f>
        <v>431.05972049403454</v>
      </c>
      <c r="I24" s="7">
        <f>H24*12/$B$60</f>
        <v>416.4828217333667</v>
      </c>
      <c r="J24" s="7">
        <f>I24/(I23+I24)*100</f>
        <v>27.754232923951687</v>
      </c>
      <c r="K24" s="5"/>
      <c r="L24" s="5"/>
    </row>
    <row r="25" spans="2:12" ht="12.75">
      <c r="B25" s="8"/>
      <c r="C25" s="9"/>
      <c r="D25" s="8"/>
      <c r="E25" s="9"/>
      <c r="F25" s="9"/>
      <c r="G25" s="8"/>
      <c r="H25" s="8"/>
      <c r="I25" s="8"/>
      <c r="J25" s="8"/>
      <c r="K25" s="8"/>
      <c r="L25" s="8"/>
    </row>
    <row r="26" spans="1:12" ht="12.75">
      <c r="A26" t="s">
        <v>52</v>
      </c>
      <c r="B26" s="4">
        <f>B54*B38+C38*B54</f>
        <v>458.79999999999995</v>
      </c>
      <c r="C26" s="5">
        <f>15/16</f>
        <v>0.9375</v>
      </c>
      <c r="D26" s="6">
        <f>(C26/2)^2*PI()</f>
        <v>0.6902913545485385</v>
      </c>
      <c r="E26" s="6">
        <f>B26/D26</f>
        <v>664.6468871105338</v>
      </c>
      <c r="F26" s="7">
        <f>E26*D38</f>
        <v>4951.619308973477</v>
      </c>
      <c r="G26" s="7">
        <f>F26*$B$57</f>
        <v>2475.8096544867385</v>
      </c>
      <c r="H26" s="7">
        <f>G26*(((B46/2)-(D46/2))/12)</f>
        <v>1138.7059222328885</v>
      </c>
      <c r="I26" s="7">
        <f>H26*12/$B$60</f>
        <v>1100.1989586791194</v>
      </c>
      <c r="J26" s="7">
        <f>I26/(I26+I27)*100</f>
        <v>73.05174100035364</v>
      </c>
      <c r="K26" s="6">
        <f>2*I26+2*I27</f>
        <v>3012.1087974447955</v>
      </c>
      <c r="L26" s="6">
        <f>K26/G38</f>
        <v>0.9954093844827481</v>
      </c>
    </row>
    <row r="27" spans="1:12" ht="12.75">
      <c r="A27" t="s">
        <v>53</v>
      </c>
      <c r="B27" s="5"/>
      <c r="C27" s="5"/>
      <c r="D27" s="5"/>
      <c r="E27" s="5"/>
      <c r="F27" s="7">
        <f>IF((E26-570&lt;0),E26*E38,((E26-570)*11/28+570)*E38)</f>
        <v>892.5585773063333</v>
      </c>
      <c r="G27" s="7">
        <f>F27*$B$58*2</f>
        <v>892.5585773063333</v>
      </c>
      <c r="H27" s="7">
        <f>G27*(((C46/2)-(E46/2))/12)</f>
        <v>420.0603804447931</v>
      </c>
      <c r="I27" s="7">
        <f>H27*12/$B$60</f>
        <v>405.8554400432784</v>
      </c>
      <c r="J27" s="7">
        <f>I27/(I26+I27)*100</f>
        <v>26.948258999646356</v>
      </c>
      <c r="K27" s="5"/>
      <c r="L27" s="5"/>
    </row>
    <row r="28" ht="12.75">
      <c r="B28" t="s">
        <v>55</v>
      </c>
    </row>
    <row r="29" ht="12.75">
      <c r="A29" s="2" t="s">
        <v>8</v>
      </c>
    </row>
    <row r="31" spans="2:12" ht="12.75">
      <c r="B31" t="s">
        <v>1</v>
      </c>
      <c r="C31" s="1" t="s">
        <v>3</v>
      </c>
      <c r="D31" t="s">
        <v>25</v>
      </c>
      <c r="E31" s="1" t="s">
        <v>26</v>
      </c>
      <c r="F31" s="3" t="s">
        <v>17</v>
      </c>
      <c r="G31" t="s">
        <v>27</v>
      </c>
      <c r="H31" s="1" t="s">
        <v>7</v>
      </c>
      <c r="I31" t="s">
        <v>28</v>
      </c>
      <c r="J31" t="s">
        <v>29</v>
      </c>
      <c r="K31" t="s">
        <v>16</v>
      </c>
      <c r="L31" t="s">
        <v>20</v>
      </c>
    </row>
    <row r="32" spans="1:12" ht="12.75">
      <c r="A32" t="s">
        <v>56</v>
      </c>
      <c r="B32" s="8">
        <v>4.1</v>
      </c>
      <c r="C32" s="9">
        <v>2.1</v>
      </c>
      <c r="D32" s="8">
        <v>6.34</v>
      </c>
      <c r="E32" s="9">
        <v>1.47</v>
      </c>
      <c r="F32" s="7">
        <f>D32/(E32+D32)*100</f>
        <v>81.17797695262485</v>
      </c>
      <c r="G32" s="8">
        <v>3026</v>
      </c>
      <c r="H32" s="8">
        <v>50</v>
      </c>
      <c r="I32" s="7">
        <f>G32*$B$55*$B$59/$B$61</f>
        <v>646.3916230366492</v>
      </c>
      <c r="J32" s="7">
        <f>G32*H32/100+I32</f>
        <v>2159.3916230366494</v>
      </c>
      <c r="K32" s="7">
        <f>J32/G32*100</f>
        <v>71.36125654450262</v>
      </c>
      <c r="L32" s="7">
        <f>100-K32</f>
        <v>28.638743455497377</v>
      </c>
    </row>
    <row r="33" spans="1:12" ht="12.75">
      <c r="A33" t="s">
        <v>62</v>
      </c>
      <c r="B33" s="8">
        <v>4.1</v>
      </c>
      <c r="C33" s="9">
        <v>2.1</v>
      </c>
      <c r="D33" s="8">
        <f>3.93*2</f>
        <v>7.86</v>
      </c>
      <c r="E33" s="9">
        <v>1.47</v>
      </c>
      <c r="F33" s="7">
        <f>D33/(E33+D33)*100</f>
        <v>84.2443729903537</v>
      </c>
      <c r="G33" s="8">
        <v>3026</v>
      </c>
      <c r="H33" s="8">
        <v>50</v>
      </c>
      <c r="I33" s="7">
        <f>G33*$B$55*$B$59/$B$61</f>
        <v>646.3916230366492</v>
      </c>
      <c r="J33" s="7">
        <f>G33*H33/100+I33</f>
        <v>2159.3916230366494</v>
      </c>
      <c r="K33" s="7">
        <f>J33/G33*100</f>
        <v>71.36125654450262</v>
      </c>
      <c r="L33" s="7">
        <f>100-K33</f>
        <v>28.638743455497377</v>
      </c>
    </row>
    <row r="34" spans="1:12" ht="12.75">
      <c r="A34" t="s">
        <v>48</v>
      </c>
      <c r="B34" s="8">
        <v>4.1</v>
      </c>
      <c r="C34" s="9">
        <v>2.1</v>
      </c>
      <c r="D34" s="8">
        <f>3.93*2</f>
        <v>7.86</v>
      </c>
      <c r="E34" s="9">
        <v>1.47</v>
      </c>
      <c r="F34" s="7">
        <f>D34/(E34+D34)*100</f>
        <v>84.2443729903537</v>
      </c>
      <c r="G34" s="8">
        <v>2850</v>
      </c>
      <c r="H34" s="8">
        <v>50</v>
      </c>
      <c r="I34" s="7">
        <f>G34*$B$55*$B$59/$B$61</f>
        <v>608.7958115183246</v>
      </c>
      <c r="J34" s="7">
        <f>G34*H34/100+I34</f>
        <v>2033.7958115183246</v>
      </c>
      <c r="K34" s="7">
        <f>J34/G34*100</f>
        <v>71.36125654450261</v>
      </c>
      <c r="L34" s="7">
        <f>100-K34</f>
        <v>28.63874345549739</v>
      </c>
    </row>
    <row r="35" spans="1:12" ht="12.75">
      <c r="A35" t="s">
        <v>60</v>
      </c>
      <c r="B35" s="8">
        <v>6.2</v>
      </c>
      <c r="C35" s="9">
        <v>0</v>
      </c>
      <c r="D35" s="8">
        <f>3.93*2</f>
        <v>7.86</v>
      </c>
      <c r="E35" s="9">
        <v>1.47</v>
      </c>
      <c r="F35" s="7">
        <f>D35/(E35+D35)*100</f>
        <v>84.2443729903537</v>
      </c>
      <c r="G35" s="8">
        <v>2850</v>
      </c>
      <c r="H35" s="8">
        <v>50</v>
      </c>
      <c r="I35" s="7">
        <f>G35*$B$55*$B$59/$B$61</f>
        <v>608.7958115183246</v>
      </c>
      <c r="J35" s="7">
        <f>G35*H35/100+I35</f>
        <v>2033.7958115183246</v>
      </c>
      <c r="K35" s="7">
        <f>J35/G35*100</f>
        <v>71.36125654450261</v>
      </c>
      <c r="L35" s="7">
        <f>100-K35</f>
        <v>28.63874345549739</v>
      </c>
    </row>
    <row r="36" spans="1:12" ht="12.75">
      <c r="A36" t="s">
        <v>61</v>
      </c>
      <c r="B36" s="8">
        <v>6.2</v>
      </c>
      <c r="C36" s="9">
        <v>0</v>
      </c>
      <c r="D36" s="8">
        <v>7.45</v>
      </c>
      <c r="E36" s="9">
        <v>1.47</v>
      </c>
      <c r="F36" s="7">
        <f>D36/(E36+D36)*100</f>
        <v>83.5201793721973</v>
      </c>
      <c r="G36" s="8">
        <v>2850</v>
      </c>
      <c r="H36" s="8">
        <v>50</v>
      </c>
      <c r="I36" s="7">
        <f>G36*$B$55*$B$59/$B$61</f>
        <v>608.7958115183246</v>
      </c>
      <c r="J36" s="7">
        <f>G36*H36/100+I36</f>
        <v>2033.7958115183246</v>
      </c>
      <c r="K36" s="7">
        <f>J36/G36*100</f>
        <v>71.36125654450261</v>
      </c>
      <c r="L36" s="7">
        <f>100-K36</f>
        <v>28.63874345549739</v>
      </c>
    </row>
    <row r="37" spans="1:12" ht="12.75">
      <c r="A37" t="s">
        <v>0</v>
      </c>
      <c r="B37" s="8">
        <v>4.1</v>
      </c>
      <c r="C37" s="9">
        <v>2.1</v>
      </c>
      <c r="D37" s="8">
        <f>3.17*2</f>
        <v>6.34</v>
      </c>
      <c r="E37" s="9">
        <v>1.47</v>
      </c>
      <c r="F37" s="7">
        <f>D37/(E37+D37)*100</f>
        <v>81.17797695262485</v>
      </c>
      <c r="G37" s="8">
        <v>3000</v>
      </c>
      <c r="H37" s="8">
        <v>50</v>
      </c>
      <c r="I37" s="7">
        <f>G37*$B$55*$B$59/$B$61</f>
        <v>640.8376963350786</v>
      </c>
      <c r="J37" s="7">
        <f>G37*H37/100+I37</f>
        <v>2140.8376963350784</v>
      </c>
      <c r="K37" s="7">
        <f>J37/G37*100</f>
        <v>71.36125654450261</v>
      </c>
      <c r="L37" s="7">
        <f>100-K37</f>
        <v>28.63874345549739</v>
      </c>
    </row>
    <row r="38" spans="1:12" ht="12.75">
      <c r="A38" t="s">
        <v>51</v>
      </c>
      <c r="B38" s="8">
        <v>4.1</v>
      </c>
      <c r="C38" s="9">
        <v>2.1</v>
      </c>
      <c r="D38" s="8">
        <v>7.45</v>
      </c>
      <c r="E38" s="9">
        <v>1.47</v>
      </c>
      <c r="F38" s="7">
        <f>D38/(E38+D38)*100</f>
        <v>83.5201793721973</v>
      </c>
      <c r="G38" s="8">
        <v>3026</v>
      </c>
      <c r="H38" s="8">
        <v>50</v>
      </c>
      <c r="I38" s="7">
        <f>G38*$B$55*$B$59/$B$61</f>
        <v>646.3916230366492</v>
      </c>
      <c r="J38" s="7">
        <f>G38*H38/100+I38</f>
        <v>2159.3916230366494</v>
      </c>
      <c r="K38" s="7">
        <f>J38/G38*100</f>
        <v>71.36125654450262</v>
      </c>
      <c r="L38" s="7">
        <f>100-K38</f>
        <v>28.638743455497377</v>
      </c>
    </row>
    <row r="40" spans="2:5" ht="12.75">
      <c r="B40" t="s">
        <v>35</v>
      </c>
      <c r="C40" s="1" t="s">
        <v>36</v>
      </c>
      <c r="D40" t="s">
        <v>24</v>
      </c>
      <c r="E40" s="1" t="s">
        <v>23</v>
      </c>
    </row>
    <row r="41" spans="1:5" ht="12.75">
      <c r="A41" t="s">
        <v>56</v>
      </c>
      <c r="B41" s="12">
        <v>11.57</v>
      </c>
      <c r="C41" s="12">
        <v>11.57</v>
      </c>
      <c r="D41" s="12">
        <v>1.875</v>
      </c>
      <c r="E41" s="12">
        <v>1.375</v>
      </c>
    </row>
    <row r="42" spans="1:5" ht="12.75">
      <c r="A42" t="s">
        <v>62</v>
      </c>
      <c r="B42" s="12">
        <v>12.6771654</v>
      </c>
      <c r="C42" s="12">
        <v>11.57</v>
      </c>
      <c r="D42" s="12">
        <v>2.375</v>
      </c>
      <c r="E42" s="12">
        <v>1.375</v>
      </c>
    </row>
    <row r="43" spans="1:5" ht="12.75">
      <c r="A43" t="s">
        <v>48</v>
      </c>
      <c r="B43" s="12">
        <v>12.6771654</v>
      </c>
      <c r="C43" s="12">
        <v>12.2</v>
      </c>
      <c r="D43" s="12">
        <v>2.375</v>
      </c>
      <c r="E43" s="12">
        <v>1.375</v>
      </c>
    </row>
    <row r="44" spans="1:5" ht="12.75">
      <c r="A44" t="s">
        <v>43</v>
      </c>
      <c r="B44" s="12">
        <v>13.0708661</v>
      </c>
      <c r="C44" s="12">
        <v>12.2</v>
      </c>
      <c r="D44" s="12">
        <v>2.00787402</v>
      </c>
      <c r="E44" s="12">
        <v>1.375</v>
      </c>
    </row>
    <row r="45" spans="1:5" ht="12.75">
      <c r="A45" t="s">
        <v>0</v>
      </c>
      <c r="B45" s="12">
        <v>11.57</v>
      </c>
      <c r="C45" s="12">
        <v>11.57</v>
      </c>
      <c r="D45" s="12">
        <v>1.875</v>
      </c>
      <c r="E45" s="12">
        <v>1.375</v>
      </c>
    </row>
    <row r="46" spans="1:5" ht="12.75">
      <c r="A46" t="s">
        <v>51</v>
      </c>
      <c r="B46" s="12">
        <v>12.9133858</v>
      </c>
      <c r="C46" s="12">
        <v>12.67</v>
      </c>
      <c r="D46" s="12">
        <v>1.875</v>
      </c>
      <c r="E46" s="12">
        <v>1.375</v>
      </c>
    </row>
    <row r="48" spans="1:2" ht="12.75">
      <c r="A48" t="s">
        <v>59</v>
      </c>
      <c r="B48" s="8">
        <v>98</v>
      </c>
    </row>
    <row r="49" spans="1:2" ht="12.75">
      <c r="A49" t="s">
        <v>63</v>
      </c>
      <c r="B49" s="8">
        <v>89</v>
      </c>
    </row>
    <row r="50" spans="1:2" ht="12.75">
      <c r="A50" t="s">
        <v>47</v>
      </c>
      <c r="B50" s="8">
        <v>81</v>
      </c>
    </row>
    <row r="51" spans="1:2" ht="12.75">
      <c r="A51" t="s">
        <v>49</v>
      </c>
      <c r="B51" s="8">
        <v>84</v>
      </c>
    </row>
    <row r="52" spans="1:2" ht="12.75">
      <c r="A52" t="s">
        <v>50</v>
      </c>
      <c r="B52" s="8">
        <v>83</v>
      </c>
    </row>
    <row r="53" spans="1:2" ht="12.75">
      <c r="A53" t="s">
        <v>39</v>
      </c>
      <c r="B53" s="8">
        <v>111</v>
      </c>
    </row>
    <row r="54" spans="1:2" ht="12.75">
      <c r="A54" t="s">
        <v>54</v>
      </c>
      <c r="B54" s="8">
        <v>74</v>
      </c>
    </row>
    <row r="55" spans="1:2" ht="12.75">
      <c r="A55" t="s">
        <v>2</v>
      </c>
      <c r="B55" s="8">
        <v>1.2</v>
      </c>
    </row>
    <row r="56" spans="1:2" ht="12.75">
      <c r="A56" t="s">
        <v>5</v>
      </c>
      <c r="B56" s="8">
        <v>50</v>
      </c>
    </row>
    <row r="57" spans="1:2" ht="12.75">
      <c r="A57" t="s">
        <v>37</v>
      </c>
      <c r="B57" s="8">
        <v>0.5</v>
      </c>
    </row>
    <row r="58" spans="1:2" ht="12.75">
      <c r="A58" t="s">
        <v>38</v>
      </c>
      <c r="B58" s="8">
        <v>0.5</v>
      </c>
    </row>
    <row r="59" spans="1:2" ht="12.75">
      <c r="A59" t="s">
        <v>10</v>
      </c>
      <c r="B59" s="8">
        <v>17</v>
      </c>
    </row>
    <row r="60" spans="1:2" ht="12.75">
      <c r="A60" t="s">
        <v>14</v>
      </c>
      <c r="B60" s="8">
        <v>12.42</v>
      </c>
    </row>
    <row r="61" spans="1:2" ht="12.75">
      <c r="A61" t="s">
        <v>15</v>
      </c>
      <c r="B61" s="8">
        <v>95.5</v>
      </c>
    </row>
    <row r="63" spans="1:7" ht="12.75">
      <c r="A63" s="2" t="s">
        <v>73</v>
      </c>
      <c r="B63" t="s">
        <v>71</v>
      </c>
      <c r="C63" s="1" t="s">
        <v>41</v>
      </c>
      <c r="E63" s="2" t="s">
        <v>72</v>
      </c>
      <c r="F63" t="s">
        <v>71</v>
      </c>
      <c r="G63" s="1" t="s">
        <v>41</v>
      </c>
    </row>
    <row r="64" spans="1:7" ht="12.75">
      <c r="A64" t="s">
        <v>40</v>
      </c>
      <c r="B64" s="8">
        <v>36</v>
      </c>
      <c r="C64" s="9">
        <f>(B64/25.4/2)^2*PI()</f>
        <v>1.5777109860547665</v>
      </c>
      <c r="E64" t="s">
        <v>40</v>
      </c>
      <c r="F64" s="8">
        <v>1.5</v>
      </c>
      <c r="G64" s="9">
        <f>(F64/2)^2*PI()</f>
        <v>1.7671458676442586</v>
      </c>
    </row>
    <row r="65" spans="1:7" ht="12.75">
      <c r="A65" t="s">
        <v>9</v>
      </c>
      <c r="B65" s="8">
        <v>42</v>
      </c>
      <c r="C65" s="9">
        <f>(B65/25.4/2)^2*PI()</f>
        <v>2.14743995324121</v>
      </c>
      <c r="E65" t="s">
        <v>9</v>
      </c>
      <c r="F65" s="8">
        <v>1.625</v>
      </c>
      <c r="G65" s="9">
        <f>(F65/2)^2*PI()</f>
        <v>2.073942025221387</v>
      </c>
    </row>
    <row r="66" spans="2:7" ht="12.75">
      <c r="B66" t="s">
        <v>42</v>
      </c>
      <c r="C66" s="9">
        <f>C64*2+C65*2</f>
        <v>7.450301878591953</v>
      </c>
      <c r="E66"/>
      <c r="F66" t="s">
        <v>42</v>
      </c>
      <c r="G66" s="9">
        <f>G64*2+G65*2</f>
        <v>7.682175785731291</v>
      </c>
    </row>
  </sheetData>
  <mergeCells count="34">
    <mergeCell ref="D11:D12"/>
    <mergeCell ref="E11:E12"/>
    <mergeCell ref="K11:K12"/>
    <mergeCell ref="L11:L12"/>
    <mergeCell ref="K26:K27"/>
    <mergeCell ref="L26:L27"/>
    <mergeCell ref="B8:B9"/>
    <mergeCell ref="C8:C9"/>
    <mergeCell ref="D8:D9"/>
    <mergeCell ref="E8:E9"/>
    <mergeCell ref="K8:K9"/>
    <mergeCell ref="L8:L9"/>
    <mergeCell ref="B11:B12"/>
    <mergeCell ref="C11:C12"/>
    <mergeCell ref="B26:B27"/>
    <mergeCell ref="C26:C27"/>
    <mergeCell ref="D26:D27"/>
    <mergeCell ref="E26:E27"/>
    <mergeCell ref="K17:K18"/>
    <mergeCell ref="L17:L18"/>
    <mergeCell ref="K14:K15"/>
    <mergeCell ref="L14:L15"/>
    <mergeCell ref="K23:K24"/>
    <mergeCell ref="L23:L24"/>
    <mergeCell ref="K20:K21"/>
    <mergeCell ref="L20:L21"/>
    <mergeCell ref="B23:B24"/>
    <mergeCell ref="C23:C24"/>
    <mergeCell ref="D23:D24"/>
    <mergeCell ref="E23:E24"/>
    <mergeCell ref="E14:E15"/>
    <mergeCell ref="D14:D15"/>
    <mergeCell ref="C14:C15"/>
    <mergeCell ref="B14:B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noone</dc:creator>
  <cp:keywords/>
  <dc:description/>
  <cp:lastModifiedBy>noone</cp:lastModifiedBy>
  <dcterms:created xsi:type="dcterms:W3CDTF">2007-01-04T05:02:22Z</dcterms:created>
  <dcterms:modified xsi:type="dcterms:W3CDTF">2007-01-09T03:50:33Z</dcterms:modified>
  <cp:category/>
  <cp:version/>
  <cp:contentType/>
  <cp:contentStatus/>
</cp:coreProperties>
</file>